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idsam-my.sharepoint.com/personal/maria_brynolf_tidsam_se/Documents/Marknad/Tidsam.se/Nya tidsam.se/Texter/"/>
    </mc:Choice>
  </mc:AlternateContent>
  <xr:revisionPtr revIDLastSave="0" documentId="8_{24627170-8077-4556-92D2-5A57C2F532A7}" xr6:coauthVersionLast="46" xr6:coauthVersionMax="46" xr10:uidLastSave="{00000000-0000-0000-0000-000000000000}"/>
  <workbookProtection workbookAlgorithmName="SHA-512" workbookHashValue="vTvsoNouJ61/xFaPIFIwyhsLGjWQRK/OkB9kLU+SDa6ZqQEhMgLBK36ylpas08I2I+iH6+E/Py8LfDOrn4a6Ag==" workbookSaltValue="iI6OWeH2nCw+bMay74Zllw==" workbookSpinCount="100000" lockStructure="1"/>
  <bookViews>
    <workbookView xWindow="-120" yWindow="-120" windowWidth="29040" windowHeight="15840" xr2:uid="{2933C17F-44D2-4E49-9566-302A814531CB}"/>
  </bookViews>
  <sheets>
    <sheet name="Kalkylator 2021" sheetId="3" r:id="rId1"/>
  </sheets>
  <definedNames>
    <definedName name="AntalUtgåvor" localSheetId="0">'Kalkylator 2021'!$F$11</definedName>
    <definedName name="AntalÅterförsäljare" localSheetId="0">'Kalkylator 2021'!$F$12</definedName>
    <definedName name="AvgårMoms" localSheetId="0">'Kalkylator 2021'!$B$34</definedName>
    <definedName name="AvgårTidsamsAvgifter" localSheetId="0">'Kalkylator 2021'!$B$35</definedName>
    <definedName name="AvgårÅterförsäljprovision" localSheetId="0">'Kalkylator 2021'!$B$37</definedName>
    <definedName name="ExAvgift" localSheetId="0">'Kalkylator 2021'!$C$27</definedName>
    <definedName name="Förlagsavgift" localSheetId="0">'Kalkylator 2021'!$C$19</definedName>
    <definedName name="FÖrlagsavgiftMaxTvåTitlar" localSheetId="0">'Kalkylator 2021'!$C$20</definedName>
    <definedName name="FörlagsTitelavgiftRörlig" localSheetId="0">'Kalkylator 2021'!$C$42</definedName>
    <definedName name="Försäljnig" localSheetId="0">'Kalkylator 2021'!$B$33</definedName>
    <definedName name="Försäljning" localSheetId="0">'Kalkylator 2021'!$B$33</definedName>
    <definedName name="FörsäljningExMomsKostnader" localSheetId="0">'Kalkylator 2021'!$B$36</definedName>
    <definedName name="Försäljningsprovision" localSheetId="0">'Kalkylator 2021'!$C$22</definedName>
    <definedName name="KgAvgift" localSheetId="0">'Kalkylator 2021'!$C$26</definedName>
    <definedName name="Kontroll">'Kalkylator 2021'!$J$16</definedName>
    <definedName name="LeveraradeEx" localSheetId="0">'Kalkylator 2021'!$F$14</definedName>
    <definedName name="Lådavgift" localSheetId="0">'Kalkylator 2021'!$C$25</definedName>
    <definedName name="PrisInklMoms" localSheetId="0">'Kalkylator 2021'!$F$10</definedName>
    <definedName name="ReturKgAvgift" localSheetId="0">'Kalkylator 2021'!$C$28</definedName>
    <definedName name="SåltProcent" localSheetId="0">'Kalkylator 2021'!$F$15</definedName>
    <definedName name="Titelavgift" localSheetId="0">'Kalkylator 2021'!$C$21</definedName>
    <definedName name="Utgåveavgift" localSheetId="0">'Kalkylator 2021'!$C$23</definedName>
    <definedName name="VigtG" localSheetId="0">'Kalkylator 2021'!$F$13</definedName>
    <definedName name="ViktGram" localSheetId="0">'Kalkylator 2021'!$F$13</definedName>
    <definedName name="Återförsäljaravgift" localSheetId="0">'Kalkylator 2021'!$C$24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3" l="1"/>
  <c r="F53" i="3" s="1"/>
  <c r="G48" i="3"/>
  <c r="F48" i="3" s="1"/>
  <c r="G47" i="3"/>
  <c r="F47" i="3" s="1"/>
  <c r="G46" i="3"/>
  <c r="F46" i="3" s="1"/>
  <c r="G45" i="3"/>
  <c r="F45" i="3" s="1"/>
  <c r="G44" i="3"/>
  <c r="F44" i="3" s="1"/>
  <c r="G43" i="3"/>
  <c r="F43" i="3" s="1"/>
  <c r="G33" i="3"/>
  <c r="G34" i="3" s="1"/>
  <c r="G28" i="3"/>
  <c r="F28" i="3" s="1"/>
  <c r="G27" i="3"/>
  <c r="F27" i="3" s="1"/>
  <c r="G26" i="3"/>
  <c r="F26" i="3" s="1"/>
  <c r="G25" i="3"/>
  <c r="F25" i="3" s="1"/>
  <c r="G24" i="3"/>
  <c r="F24" i="3" s="1"/>
  <c r="G23" i="3"/>
  <c r="F23" i="3" s="1"/>
  <c r="G22" i="3"/>
  <c r="F22" i="3" s="1"/>
  <c r="G21" i="3"/>
  <c r="F21" i="3" s="1"/>
  <c r="J15" i="3"/>
  <c r="J14" i="3"/>
  <c r="J13" i="3"/>
  <c r="J12" i="3"/>
  <c r="D12" i="3"/>
  <c r="J11" i="3"/>
  <c r="D11" i="3"/>
  <c r="J10" i="3"/>
  <c r="D13" i="3" l="1"/>
  <c r="D10" i="3" s="1"/>
  <c r="D9" i="3" s="1"/>
  <c r="G61" i="3" s="1"/>
  <c r="J16" i="3"/>
  <c r="G29" i="3"/>
  <c r="F33" i="3"/>
  <c r="G54" i="3"/>
  <c r="F34" i="3"/>
  <c r="G37" i="3"/>
  <c r="F37" i="3" s="1"/>
  <c r="G42" i="3" l="1"/>
  <c r="F54" i="3"/>
  <c r="G35" i="3"/>
  <c r="F29" i="3"/>
  <c r="G57" i="3"/>
  <c r="F57" i="3" s="1"/>
  <c r="F35" i="3" l="1"/>
  <c r="G36" i="3"/>
  <c r="F42" i="3"/>
  <c r="G49" i="3"/>
  <c r="G55" i="3" l="1"/>
  <c r="F49" i="3"/>
  <c r="G38" i="3"/>
  <c r="F38" i="3" s="1"/>
  <c r="F36" i="3"/>
  <c r="G56" i="3" l="1"/>
  <c r="F55" i="3"/>
  <c r="G58" i="3" l="1"/>
  <c r="F58" i="3" s="1"/>
  <c r="F56" i="3"/>
</calcChain>
</file>

<file path=xl/sharedStrings.xml><?xml version="1.0" encoding="utf-8"?>
<sst xmlns="http://schemas.openxmlformats.org/spreadsheetml/2006/main" count="76" uniqueCount="47">
  <si>
    <t>Vikt (g)</t>
  </si>
  <si>
    <t>Levererade ex</t>
  </si>
  <si>
    <t>Sålt%</t>
  </si>
  <si>
    <t>Antal utgåvor per år</t>
  </si>
  <si>
    <t>Försäljningsprovision</t>
  </si>
  <si>
    <t>Lådavgift</t>
  </si>
  <si>
    <t>Retur Kg-avgift</t>
  </si>
  <si>
    <t>Sammanfattning</t>
  </si>
  <si>
    <t>Försäljning</t>
  </si>
  <si>
    <t>Avgår moms</t>
  </si>
  <si>
    <t>Avgår Tidsams avgifter</t>
  </si>
  <si>
    <t>Försäljning exkl moms och kostnader</t>
  </si>
  <si>
    <t>Utgåveavgift</t>
  </si>
  <si>
    <t>Antal återförsäljare</t>
  </si>
  <si>
    <t>Pris inkl. moms</t>
  </si>
  <si>
    <t>Förlagsavgift</t>
  </si>
  <si>
    <t>-</t>
  </si>
  <si>
    <t>*Förlag med max 2 titlar debiteras</t>
  </si>
  <si>
    <t>per förlag och år</t>
  </si>
  <si>
    <t>Titelavgift</t>
  </si>
  <si>
    <t>Förlagsavgift + titelavgift rörlig 31%</t>
  </si>
  <si>
    <t>per låda</t>
  </si>
  <si>
    <t>per ordinarie utgåva</t>
  </si>
  <si>
    <t>Kg-avgift (inkl ev export)</t>
  </si>
  <si>
    <t>per mottaget kg</t>
  </si>
  <si>
    <t>Ex-avgift (inkl ev export)</t>
  </si>
  <si>
    <t>per mottaget ex</t>
  </si>
  <si>
    <t>per returnerat kg</t>
  </si>
  <si>
    <t>per år och titel</t>
  </si>
  <si>
    <t>av försäljningsvärdet exkl moms</t>
  </si>
  <si>
    <t>Avgår återförsäljarprovision</t>
  </si>
  <si>
    <t>Återförsäljaravgift</t>
  </si>
  <si>
    <t>av försäljningsvärdet inkl moms</t>
  </si>
  <si>
    <t>per återförsäljare och år</t>
  </si>
  <si>
    <t>Förlagsavtal fast</t>
  </si>
  <si>
    <t>Titel</t>
  </si>
  <si>
    <t>Förlagsavtal rörligt</t>
  </si>
  <si>
    <t>Antal titlar</t>
  </si>
  <si>
    <t>Summa fasta avgifter</t>
  </si>
  <si>
    <t>Förlagets försäljningsvärde 2021 exkl moms</t>
  </si>
  <si>
    <t>Summa avgifter</t>
  </si>
  <si>
    <t>Att utbetala till förlaget</t>
  </si>
  <si>
    <t>Summa avgifter (exkl förlagsavgift)</t>
  </si>
  <si>
    <t>Genomsnittligt antal utgåvor per titel</t>
  </si>
  <si>
    <t>Fyll i förlagets uppgifter för att få en indikation på 
vilken modell som är mest gynsam för förlaget</t>
  </si>
  <si>
    <t>Per utgåva</t>
  </si>
  <si>
    <t>Fyll i genomsnitt per utgåva för beräkning
av intäkter och distributionskostnader för en 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</si>
</sst>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r&quot;"/>
    <numFmt numFmtId="165" formatCode="#,##0\ &quot;kr&quot;"/>
    <numFmt numFmtId="166" formatCode="0.0%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b/>
      <i/>
      <sz val="12"/>
      <color theme="1" tint="0.249977111117893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rgb="FF404040"/>
      <name val="Arial"/>
      <family val="2"/>
    </font>
    <font>
      <sz val="12"/>
      <color rgb="FF40404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Protection="1">
      <protection hidden="1"/>
    </xf>
    <xf numFmtId="0" fontId="0" fillId="0" borderId="0" xfId="0" quotePrefix="1" applyFont="1" applyBorder="1" applyAlignment="1" applyProtection="1">
      <alignment horizontal="right"/>
      <protection hidden="1"/>
    </xf>
    <xf numFmtId="3" fontId="2" fillId="0" borderId="0" xfId="0" applyNumberFormat="1" applyFon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3" fontId="2" fillId="0" borderId="0" xfId="0" applyNumberFormat="1" applyFont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3" fontId="1" fillId="0" borderId="0" xfId="0" applyNumberFormat="1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0" fontId="11" fillId="0" borderId="3" xfId="0" quotePrefix="1" applyFont="1" applyBorder="1" applyAlignment="1" applyProtection="1">
      <alignment horizontal="right"/>
      <protection hidden="1"/>
    </xf>
    <xf numFmtId="3" fontId="11" fillId="0" borderId="3" xfId="0" applyNumberFormat="1" applyFont="1" applyFill="1" applyBorder="1" applyProtection="1">
      <protection hidden="1"/>
    </xf>
    <xf numFmtId="3" fontId="11" fillId="0" borderId="3" xfId="0" applyNumberFormat="1" applyFont="1" applyBorder="1" applyProtection="1">
      <protection hidden="1"/>
    </xf>
    <xf numFmtId="3" fontId="12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3" fontId="12" fillId="0" borderId="0" xfId="0" applyNumberFormat="1" applyFont="1" applyFill="1" applyBorder="1" applyProtection="1">
      <protection hidden="1"/>
    </xf>
    <xf numFmtId="3" fontId="11" fillId="0" borderId="3" xfId="0" quotePrefix="1" applyNumberFormat="1" applyFont="1" applyFill="1" applyBorder="1" applyAlignment="1" applyProtection="1">
      <alignment horizontal="right"/>
      <protection hidden="1"/>
    </xf>
    <xf numFmtId="3" fontId="14" fillId="0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0" fillId="0" borderId="4" xfId="0" applyFont="1" applyBorder="1" applyProtection="1">
      <protection hidden="1"/>
    </xf>
    <xf numFmtId="0" fontId="10" fillId="0" borderId="2" xfId="0" applyFont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165" fontId="10" fillId="0" borderId="4" xfId="0" applyNumberFormat="1" applyFont="1" applyBorder="1" applyAlignment="1" applyProtection="1">
      <protection hidden="1"/>
    </xf>
    <xf numFmtId="3" fontId="10" fillId="0" borderId="4" xfId="0" applyNumberFormat="1" applyFont="1" applyBorder="1" applyProtection="1">
      <protection hidden="1"/>
    </xf>
    <xf numFmtId="0" fontId="10" fillId="0" borderId="3" xfId="0" quotePrefix="1" applyNumberFormat="1" applyFont="1" applyBorder="1" applyAlignment="1" applyProtection="1">
      <alignment horizontal="right"/>
      <protection hidden="1"/>
    </xf>
    <xf numFmtId="165" fontId="10" fillId="0" borderId="2" xfId="0" applyNumberFormat="1" applyFont="1" applyBorder="1" applyAlignment="1" applyProtection="1">
      <protection hidden="1"/>
    </xf>
    <xf numFmtId="3" fontId="10" fillId="0" borderId="2" xfId="0" applyNumberFormat="1" applyFont="1" applyBorder="1" applyProtection="1">
      <protection hidden="1"/>
    </xf>
    <xf numFmtId="3" fontId="10" fillId="0" borderId="1" xfId="0" quotePrefix="1" applyNumberFormat="1" applyFont="1" applyBorder="1" applyAlignment="1" applyProtection="1">
      <alignment horizontal="right"/>
      <protection hidden="1"/>
    </xf>
    <xf numFmtId="3" fontId="10" fillId="0" borderId="3" xfId="0" applyNumberFormat="1" applyFont="1" applyBorder="1" applyProtection="1">
      <protection hidden="1"/>
    </xf>
    <xf numFmtId="10" fontId="10" fillId="0" borderId="4" xfId="0" applyNumberFormat="1" applyFont="1" applyBorder="1" applyProtection="1">
      <protection hidden="1"/>
    </xf>
    <xf numFmtId="10" fontId="10" fillId="0" borderId="4" xfId="0" applyNumberFormat="1" applyFont="1" applyBorder="1" applyAlignment="1" applyProtection="1">
      <protection hidden="1"/>
    </xf>
    <xf numFmtId="165" fontId="10" fillId="0" borderId="4" xfId="0" applyNumberFormat="1" applyFont="1" applyBorder="1" applyProtection="1">
      <protection hidden="1"/>
    </xf>
    <xf numFmtId="164" fontId="10" fillId="0" borderId="4" xfId="0" applyNumberFormat="1" applyFont="1" applyBorder="1" applyProtection="1">
      <protection hidden="1"/>
    </xf>
    <xf numFmtId="2" fontId="10" fillId="0" borderId="4" xfId="0" applyNumberFormat="1" applyFont="1" applyBorder="1" applyProtection="1">
      <protection hidden="1"/>
    </xf>
    <xf numFmtId="0" fontId="9" fillId="0" borderId="0" xfId="0" applyFont="1" applyBorder="1" applyProtection="1">
      <protection hidden="1"/>
    </xf>
    <xf numFmtId="3" fontId="9" fillId="0" borderId="0" xfId="0" applyNumberFormat="1" applyFont="1" applyBorder="1" applyProtection="1">
      <protection hidden="1"/>
    </xf>
    <xf numFmtId="0" fontId="13" fillId="0" borderId="0" xfId="0" applyFont="1" applyBorder="1" applyProtection="1">
      <protection hidden="1"/>
    </xf>
    <xf numFmtId="9" fontId="10" fillId="0" borderId="4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8" fillId="3" borderId="0" xfId="0" applyFont="1" applyFill="1" applyBorder="1" applyProtection="1">
      <protection hidden="1"/>
    </xf>
    <xf numFmtId="0" fontId="10" fillId="0" borderId="4" xfId="0" applyFont="1" applyBorder="1" applyAlignment="1" applyProtection="1">
      <protection hidden="1"/>
    </xf>
    <xf numFmtId="10" fontId="10" fillId="0" borderId="4" xfId="0" applyNumberFormat="1" applyFont="1" applyBorder="1" applyAlignment="1" applyProtection="1">
      <alignment wrapText="1"/>
      <protection hidden="1"/>
    </xf>
    <xf numFmtId="3" fontId="10" fillId="0" borderId="3" xfId="0" applyNumberFormat="1" applyFont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10" fillId="5" borderId="3" xfId="0" applyNumberFormat="1" applyFont="1" applyFill="1" applyBorder="1" applyProtection="1">
      <protection locked="0"/>
    </xf>
    <xf numFmtId="0" fontId="10" fillId="5" borderId="1" xfId="0" applyFont="1" applyFill="1" applyBorder="1" applyProtection="1">
      <protection locked="0"/>
    </xf>
    <xf numFmtId="4" fontId="10" fillId="5" borderId="3" xfId="0" applyNumberFormat="1" applyFont="1" applyFill="1" applyBorder="1" applyProtection="1">
      <protection locked="0"/>
    </xf>
    <xf numFmtId="3" fontId="10" fillId="5" borderId="1" xfId="0" applyNumberFormat="1" applyFont="1" applyFill="1" applyBorder="1" applyProtection="1">
      <protection locked="0"/>
    </xf>
    <xf numFmtId="9" fontId="10" fillId="5" borderId="3" xfId="0" applyNumberFormat="1" applyFont="1" applyFill="1" applyBorder="1" applyProtection="1">
      <protection locked="0"/>
    </xf>
    <xf numFmtId="0" fontId="18" fillId="0" borderId="0" xfId="0" applyFont="1" applyBorder="1" applyProtection="1">
      <protection hidden="1"/>
    </xf>
    <xf numFmtId="166" fontId="8" fillId="4" borderId="0" xfId="1" applyNumberFormat="1" applyFont="1" applyFill="1" applyProtection="1">
      <protection hidden="1"/>
    </xf>
    <xf numFmtId="4" fontId="8" fillId="4" borderId="0" xfId="0" applyNumberFormat="1" applyFont="1" applyFill="1" applyProtection="1">
      <protection hidden="1"/>
    </xf>
    <xf numFmtId="0" fontId="18" fillId="4" borderId="0" xfId="0" applyFont="1" applyFill="1" applyProtection="1">
      <protection hidden="1"/>
    </xf>
    <xf numFmtId="3" fontId="18" fillId="0" borderId="0" xfId="0" applyNumberFormat="1" applyFont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5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16" fillId="0" borderId="8" xfId="0" applyFont="1" applyBorder="1" applyProtection="1">
      <protection hidden="1"/>
    </xf>
    <xf numFmtId="0" fontId="17" fillId="0" borderId="8" xfId="0" applyFont="1" applyBorder="1" applyProtection="1">
      <protection hidden="1"/>
    </xf>
    <xf numFmtId="0" fontId="17" fillId="0" borderId="10" xfId="0" applyFont="1" applyBorder="1" applyProtection="1">
      <protection hidden="1"/>
    </xf>
    <xf numFmtId="0" fontId="7" fillId="2" borderId="4" xfId="0" applyFont="1" applyFill="1" applyBorder="1" applyProtection="1">
      <protection hidden="1"/>
    </xf>
    <xf numFmtId="0" fontId="8" fillId="2" borderId="4" xfId="0" applyFont="1" applyFill="1" applyBorder="1" applyProtection="1">
      <protection hidden="1"/>
    </xf>
    <xf numFmtId="0" fontId="7" fillId="3" borderId="4" xfId="0" applyFont="1" applyFill="1" applyBorder="1" applyProtection="1">
      <protection hidden="1"/>
    </xf>
    <xf numFmtId="0" fontId="8" fillId="3" borderId="4" xfId="0" applyFont="1" applyFill="1" applyBorder="1" applyProtection="1"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</cellXfs>
  <cellStyles count="2">
    <cellStyle name="Normal" xfId="0" builtinId="0"/>
    <cellStyle name="Procent" xfId="1" builtinId="5"/>
  </cellStyles>
  <dxfs count="7"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ill>
        <patternFill>
          <bgColor theme="0" tint="-0.24994659260841701"/>
        </patternFill>
      </fill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1155878</xdr:colOff>
      <xdr:row>2</xdr:row>
      <xdr:rowOff>227094</xdr:rowOff>
    </xdr:from>
    <xdr:ext cx="2065304" cy="460796"/>
    <xdr:pic>
      <xdr:nvPicPr>
        <xdr:cNvPr id="2" name="Bildobjekt 1">
          <a:extLst>
            <a:ext uri="{FF2B5EF4-FFF2-40B4-BE49-F238E27FC236}">
              <a16:creationId xmlns:a16="http://schemas.microsoft.com/office/drawing/2014/main" id="{988D3671-4409-4D14-9B67-6B0D94AC2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0560" y="556139"/>
          <a:ext cx="2065304" cy="460796"/>
        </a:xfrm>
        <a:prstGeom prst="rect">
          <a:avLst/>
        </a:prstGeom>
      </xdr:spPr>
    </xdr:pic>
    <xdr:clientData/>
  </xdr:oneCellAnchor>
  <xdr:twoCellAnchor editAs="absolute">
    <xdr:from>
      <xdr:col>1</xdr:col>
      <xdr:colOff>134470</xdr:colOff>
      <xdr:row>1</xdr:row>
      <xdr:rowOff>76201</xdr:rowOff>
    </xdr:from>
    <xdr:to>
      <xdr:col>5</xdr:col>
      <xdr:colOff>1140963</xdr:colOff>
      <xdr:row>6</xdr:row>
      <xdr:rowOff>190501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509354AD-A0B6-4525-AB3D-F7351BA51D26}"/>
            </a:ext>
          </a:extLst>
        </xdr:cNvPr>
        <xdr:cNvSpPr txBox="1"/>
      </xdr:nvSpPr>
      <xdr:spPr>
        <a:xfrm>
          <a:off x="744070" y="247651"/>
          <a:ext cx="8857691" cy="1181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KALKYLATOR 2021 - svenska tidskrifter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6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6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sv-SE" sz="3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Detta är en kalkylator som kan ge en kostnadsindikation för distribution via Tidsam. 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otera att kalkylen beräknas utifrån genomsnittsvärden och den verkliga kostnaden kan variera. 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sv-S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Vilken avtalsmodell som är mest gynsam för förlaget bestäms utifrån en försäljningsprognos som Tidsam gör i början av året.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v-SE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sv-S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Tidsa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82363"/>
      </a:accent1>
      <a:accent2>
        <a:srgbClr val="F59C00"/>
      </a:accent2>
      <a:accent3>
        <a:srgbClr val="078A47"/>
      </a:accent3>
      <a:accent4>
        <a:srgbClr val="43BFE8"/>
      </a:accent4>
      <a:accent5>
        <a:srgbClr val="AA200B"/>
      </a:accent5>
      <a:accent6>
        <a:srgbClr val="E677A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9B44E-5B57-4485-975D-E7449A877D19}">
  <dimension ref="A1:XFC1048576"/>
  <sheetViews>
    <sheetView showGridLines="0" showRowColHeaders="0" tabSelected="1" zoomScale="70" zoomScaleNormal="70" workbookViewId="0">
      <selection activeCell="C10" sqref="C10"/>
    </sheetView>
  </sheetViews>
  <sheetFormatPr defaultColWidth="0" defaultRowHeight="10.5" customHeight="1" zeroHeight="1" x14ac:dyDescent="0.2"/>
  <cols>
    <col min="1" max="1" width="7.7109375" style="23" customWidth="1"/>
    <col min="2" max="2" width="49.42578125" style="23" customWidth="1"/>
    <col min="3" max="3" width="25.28515625" style="23" customWidth="1"/>
    <col min="4" max="4" width="1.42578125" style="23" customWidth="1"/>
    <col min="5" max="5" width="41.5703125" style="23" customWidth="1"/>
    <col min="6" max="7" width="25.7109375" style="23" customWidth="1"/>
    <col min="8" max="8" width="7.7109375" style="23" customWidth="1"/>
    <col min="9" max="9" width="20.7109375" style="23" hidden="1"/>
    <col min="10" max="10" width="3.5703125" style="23" hidden="1" customWidth="1"/>
    <col min="11" max="11" width="22.7109375" style="23" hidden="1"/>
    <col min="12" max="13" width="15.7109375" style="23" hidden="1"/>
    <col min="14" max="16381" width="9.140625" style="23" hidden="1"/>
    <col min="16382" max="16382" width="9.28515625" style="23" hidden="1" customWidth="1"/>
    <col min="16383" max="16383" width="8.28515625" style="23" hidden="1" customWidth="1"/>
    <col min="16384" max="16384" width="15.28515625" style="23" hidden="1" customWidth="1"/>
  </cols>
  <sheetData>
    <row r="1" spans="1:10" ht="13.5" thickBot="1" x14ac:dyDescent="0.25">
      <c r="F1" s="24"/>
    </row>
    <row r="2" spans="1:10" ht="12.75" x14ac:dyDescent="0.2">
      <c r="A2" s="9"/>
      <c r="B2" s="66"/>
      <c r="C2" s="67"/>
      <c r="D2" s="67"/>
      <c r="E2" s="67"/>
      <c r="F2" s="67"/>
      <c r="G2" s="68"/>
    </row>
    <row r="3" spans="1:10" ht="26.25" x14ac:dyDescent="0.4">
      <c r="A3" s="9"/>
      <c r="B3" s="73"/>
      <c r="C3" s="9"/>
      <c r="D3" s="9"/>
      <c r="E3" s="9"/>
      <c r="F3" s="25"/>
      <c r="G3" s="69"/>
      <c r="H3" s="27"/>
    </row>
    <row r="4" spans="1:10" ht="15" x14ac:dyDescent="0.2">
      <c r="A4" s="9"/>
      <c r="B4" s="74"/>
      <c r="C4" s="9"/>
      <c r="D4" s="9"/>
      <c r="E4" s="9"/>
      <c r="F4" s="25"/>
      <c r="G4" s="69"/>
      <c r="H4" s="27"/>
    </row>
    <row r="5" spans="1:10" ht="15" x14ac:dyDescent="0.2">
      <c r="A5" s="9"/>
      <c r="B5" s="74"/>
      <c r="C5" s="9"/>
      <c r="D5" s="9"/>
      <c r="E5" s="9"/>
      <c r="F5" s="25"/>
      <c r="G5" s="69"/>
      <c r="H5" s="27"/>
    </row>
    <row r="6" spans="1:10" ht="15" x14ac:dyDescent="0.2">
      <c r="A6" s="9"/>
      <c r="B6" s="74"/>
      <c r="C6" s="9"/>
      <c r="D6" s="9"/>
      <c r="E6" s="9"/>
      <c r="F6" s="25"/>
      <c r="G6" s="69"/>
      <c r="H6" s="27"/>
    </row>
    <row r="7" spans="1:10" ht="15.75" thickBot="1" x14ac:dyDescent="0.25">
      <c r="B7" s="75"/>
      <c r="C7" s="70"/>
      <c r="D7" s="70"/>
      <c r="E7" s="70"/>
      <c r="F7" s="71"/>
      <c r="G7" s="72"/>
      <c r="H7" s="27"/>
    </row>
    <row r="8" spans="1:10" ht="12.75" x14ac:dyDescent="0.2"/>
    <row r="9" spans="1:10" ht="42.75" customHeight="1" x14ac:dyDescent="0.2">
      <c r="B9" s="80" t="s">
        <v>44</v>
      </c>
      <c r="C9" s="81"/>
      <c r="D9" s="61" t="str">
        <f>IF(D10="","Värden saknas val",IF(D10&lt;0.31,"Fast","Rörlig"))</f>
        <v>Värden saknas val</v>
      </c>
      <c r="E9" s="82" t="s">
        <v>46</v>
      </c>
      <c r="F9" s="81"/>
    </row>
    <row r="10" spans="1:10" ht="15" x14ac:dyDescent="0.2">
      <c r="B10" s="28" t="s">
        <v>39</v>
      </c>
      <c r="C10" s="56"/>
      <c r="D10" s="62" t="str">
        <f>IF(AND(C10&lt;&gt;"",C11&lt;&gt;"",C12&lt;&gt;""),D13/C10,"")</f>
        <v/>
      </c>
      <c r="E10" s="28" t="s">
        <v>14</v>
      </c>
      <c r="F10" s="58"/>
      <c r="J10" s="23">
        <f>IF(PrisInklMoms="",0,1)</f>
        <v>0</v>
      </c>
    </row>
    <row r="11" spans="1:10" ht="15" x14ac:dyDescent="0.2">
      <c r="B11" s="29" t="s">
        <v>37</v>
      </c>
      <c r="C11" s="57"/>
      <c r="D11" s="63">
        <f>IF(C11&lt;3,163201+(C11*65168),326403+(C11*65168))</f>
        <v>163201</v>
      </c>
      <c r="E11" s="29" t="s">
        <v>3</v>
      </c>
      <c r="F11" s="57"/>
      <c r="J11" s="23">
        <f>IF(AntalUtgåvor="",0,1)</f>
        <v>0</v>
      </c>
    </row>
    <row r="12" spans="1:10" ht="15" x14ac:dyDescent="0.2">
      <c r="B12" s="28" t="s">
        <v>43</v>
      </c>
      <c r="C12" s="56"/>
      <c r="D12" s="63">
        <f>C12*C11*6453</f>
        <v>0</v>
      </c>
      <c r="E12" s="28" t="s">
        <v>13</v>
      </c>
      <c r="F12" s="56"/>
      <c r="J12" s="23">
        <f>IF(AntalÅterförsäljare="",0,1)</f>
        <v>0</v>
      </c>
    </row>
    <row r="13" spans="1:10" ht="15" x14ac:dyDescent="0.2">
      <c r="B13" s="54" t="s">
        <v>38</v>
      </c>
      <c r="C13" s="55"/>
      <c r="D13" s="63">
        <f>SUM(D11:D12)</f>
        <v>163201</v>
      </c>
      <c r="E13" s="29" t="s">
        <v>0</v>
      </c>
      <c r="F13" s="59"/>
      <c r="J13" s="23">
        <f>IF(VigtG="",0,1)</f>
        <v>0</v>
      </c>
    </row>
    <row r="14" spans="1:10" ht="15" x14ac:dyDescent="0.2">
      <c r="D14" s="64"/>
      <c r="E14" s="28" t="s">
        <v>1</v>
      </c>
      <c r="F14" s="56"/>
      <c r="J14" s="23">
        <f>IF(LeveraradeEx="",0,1)</f>
        <v>0</v>
      </c>
    </row>
    <row r="15" spans="1:10" ht="15" x14ac:dyDescent="0.2">
      <c r="E15" s="28" t="s">
        <v>2</v>
      </c>
      <c r="F15" s="60"/>
      <c r="J15" s="23">
        <f>IF(SåltProcent="",0,1)</f>
        <v>0</v>
      </c>
    </row>
    <row r="16" spans="1:10" ht="15" x14ac:dyDescent="0.2">
      <c r="B16" s="26"/>
      <c r="C16" s="26"/>
      <c r="D16" s="26"/>
      <c r="E16" s="26"/>
      <c r="F16" s="26"/>
      <c r="G16" s="26"/>
      <c r="J16" s="27">
        <f>SUM(J10:J15)</f>
        <v>0</v>
      </c>
    </row>
    <row r="17" spans="2:11" ht="15" x14ac:dyDescent="0.2">
      <c r="B17" s="30"/>
      <c r="C17" s="30"/>
      <c r="D17" s="30"/>
      <c r="E17" s="30"/>
      <c r="F17" s="30"/>
      <c r="G17" s="18"/>
      <c r="H17" s="31"/>
      <c r="I17" s="32"/>
      <c r="K17" s="32"/>
    </row>
    <row r="18" spans="2:11" ht="15.75" x14ac:dyDescent="0.25">
      <c r="B18" s="76" t="s">
        <v>34</v>
      </c>
      <c r="C18" s="77"/>
      <c r="D18" s="77"/>
      <c r="E18" s="77"/>
      <c r="F18" s="76" t="s">
        <v>45</v>
      </c>
      <c r="G18" s="76" t="s">
        <v>35</v>
      </c>
      <c r="H18" s="10"/>
      <c r="K18" s="10"/>
    </row>
    <row r="19" spans="2:11" ht="15" x14ac:dyDescent="0.2">
      <c r="B19" s="28" t="s">
        <v>15</v>
      </c>
      <c r="C19" s="33">
        <v>326403</v>
      </c>
      <c r="D19" s="33"/>
      <c r="E19" s="34" t="s">
        <v>18</v>
      </c>
      <c r="F19" s="35" t="s">
        <v>16</v>
      </c>
      <c r="G19" s="13" t="s">
        <v>16</v>
      </c>
      <c r="H19" s="1"/>
      <c r="K19" s="2"/>
    </row>
    <row r="20" spans="2:11" ht="15" x14ac:dyDescent="0.2">
      <c r="B20" s="29" t="s">
        <v>17</v>
      </c>
      <c r="C20" s="36">
        <v>163201</v>
      </c>
      <c r="D20" s="36"/>
      <c r="E20" s="37" t="s">
        <v>18</v>
      </c>
      <c r="F20" s="38" t="s">
        <v>16</v>
      </c>
      <c r="G20" s="13" t="s">
        <v>16</v>
      </c>
      <c r="H20" s="1"/>
      <c r="K20" s="2"/>
    </row>
    <row r="21" spans="2:11" ht="15" x14ac:dyDescent="0.2">
      <c r="B21" s="28" t="s">
        <v>19</v>
      </c>
      <c r="C21" s="33">
        <v>65168</v>
      </c>
      <c r="D21" s="33"/>
      <c r="E21" s="34" t="s">
        <v>28</v>
      </c>
      <c r="F21" s="39" t="e">
        <f t="shared" ref="F21:F29" si="0">G21/AntalUtgåvor</f>
        <v>#DIV/0!</v>
      </c>
      <c r="G21" s="14">
        <f>Titelavgift</f>
        <v>65168</v>
      </c>
      <c r="H21" s="3"/>
      <c r="K21" s="2"/>
    </row>
    <row r="22" spans="2:11" ht="15" x14ac:dyDescent="0.2">
      <c r="B22" s="28" t="s">
        <v>4</v>
      </c>
      <c r="C22" s="40">
        <v>1.3899999999999999E-2</v>
      </c>
      <c r="D22" s="40"/>
      <c r="E22" s="41" t="s">
        <v>32</v>
      </c>
      <c r="F22" s="39" t="e">
        <f t="shared" si="0"/>
        <v>#DIV/0!</v>
      </c>
      <c r="G22" s="14">
        <f>(PrisInklMoms*LeveraradeEx*SåltProcent*AntalUtgåvor)*Försäljningsprovision</f>
        <v>0</v>
      </c>
      <c r="H22" s="3"/>
      <c r="K22" s="4"/>
    </row>
    <row r="23" spans="2:11" ht="15" x14ac:dyDescent="0.2">
      <c r="B23" s="28" t="s">
        <v>12</v>
      </c>
      <c r="C23" s="42">
        <v>6453</v>
      </c>
      <c r="D23" s="42"/>
      <c r="E23" s="34" t="s">
        <v>22</v>
      </c>
      <c r="F23" s="39" t="e">
        <f t="shared" si="0"/>
        <v>#DIV/0!</v>
      </c>
      <c r="G23" s="15">
        <f>AntalUtgåvor*Utgåveavgift</f>
        <v>0</v>
      </c>
      <c r="H23" s="5"/>
      <c r="K23" s="4"/>
    </row>
    <row r="24" spans="2:11" ht="15" x14ac:dyDescent="0.2">
      <c r="B24" s="28" t="s">
        <v>31</v>
      </c>
      <c r="C24" s="43">
        <v>20.57</v>
      </c>
      <c r="D24" s="43"/>
      <c r="E24" s="34" t="s">
        <v>33</v>
      </c>
      <c r="F24" s="39" t="e">
        <f t="shared" si="0"/>
        <v>#DIV/0!</v>
      </c>
      <c r="G24" s="14">
        <f>IF(AntalUtgåvor&gt;3,Återförsäljaravgift/AntalUtgåvor*AntalÅterförsäljare*AntalUtgåvor,(Återförsäljaravgift/4)*AntalÅterförsäljare*AntalUtgåvor)</f>
        <v>0</v>
      </c>
      <c r="H24" s="3"/>
      <c r="K24" s="4"/>
    </row>
    <row r="25" spans="2:11" ht="15" x14ac:dyDescent="0.2">
      <c r="B25" s="28" t="s">
        <v>5</v>
      </c>
      <c r="C25" s="43">
        <v>5.1100000000000003</v>
      </c>
      <c r="D25" s="43"/>
      <c r="E25" s="28" t="s">
        <v>21</v>
      </c>
      <c r="F25" s="39" t="e">
        <f t="shared" si="0"/>
        <v>#DIV/0!</v>
      </c>
      <c r="G25" s="14">
        <f>(AntalÅterförsäljare*AntalUtgåvor)*Lådavgift</f>
        <v>0</v>
      </c>
      <c r="H25" s="3"/>
      <c r="K25" s="4"/>
    </row>
    <row r="26" spans="2:11" ht="15" x14ac:dyDescent="0.2">
      <c r="B26" s="28" t="s">
        <v>23</v>
      </c>
      <c r="C26" s="43">
        <v>1.23</v>
      </c>
      <c r="D26" s="43"/>
      <c r="E26" s="44" t="s">
        <v>24</v>
      </c>
      <c r="F26" s="39" t="e">
        <f t="shared" si="0"/>
        <v>#DIV/0!</v>
      </c>
      <c r="G26" s="14">
        <f>(LeveraradeEx*AntalUtgåvor*(ViktGram/1000))*KgAvgift</f>
        <v>0</v>
      </c>
      <c r="H26" s="3"/>
      <c r="K26" s="4"/>
    </row>
    <row r="27" spans="2:11" ht="15" x14ac:dyDescent="0.2">
      <c r="B27" s="28" t="s">
        <v>25</v>
      </c>
      <c r="C27" s="43">
        <v>0.05</v>
      </c>
      <c r="D27" s="43"/>
      <c r="E27" s="28" t="s">
        <v>26</v>
      </c>
      <c r="F27" s="39" t="e">
        <f t="shared" si="0"/>
        <v>#DIV/0!</v>
      </c>
      <c r="G27" s="14">
        <f>LeveraradeEx*AntalUtgåvor*ExAvgift</f>
        <v>0</v>
      </c>
      <c r="H27" s="3"/>
      <c r="K27" s="4"/>
    </row>
    <row r="28" spans="2:11" ht="15" x14ac:dyDescent="0.2">
      <c r="B28" s="28" t="s">
        <v>6</v>
      </c>
      <c r="C28" s="43">
        <v>1.44</v>
      </c>
      <c r="D28" s="43"/>
      <c r="E28" s="28" t="s">
        <v>27</v>
      </c>
      <c r="F28" s="39" t="e">
        <f t="shared" si="0"/>
        <v>#DIV/0!</v>
      </c>
      <c r="G28" s="14">
        <f>(LeveraradeEx*AntalUtgåvor*(ViktGram/1000)*(1-SåltProcent))*ReturKgAvgift</f>
        <v>0</v>
      </c>
      <c r="H28" s="3"/>
      <c r="K28" s="4"/>
    </row>
    <row r="29" spans="2:11" ht="15.75" x14ac:dyDescent="0.25">
      <c r="B29" s="45" t="s">
        <v>42</v>
      </c>
      <c r="C29" s="45"/>
      <c r="D29" s="45"/>
      <c r="E29" s="45"/>
      <c r="F29" s="46" t="e">
        <f t="shared" si="0"/>
        <v>#DIV/0!</v>
      </c>
      <c r="G29" s="16">
        <f>SUM(G20:G28)</f>
        <v>65168</v>
      </c>
      <c r="H29" s="11"/>
      <c r="K29" s="7"/>
    </row>
    <row r="30" spans="2:11" ht="15.75" customHeight="1" x14ac:dyDescent="0.25">
      <c r="B30" s="47"/>
      <c r="C30" s="47"/>
      <c r="D30" s="47"/>
      <c r="E30" s="47"/>
      <c r="F30" s="47"/>
      <c r="G30" s="17"/>
      <c r="H30" s="12"/>
      <c r="K30" s="7"/>
    </row>
    <row r="31" spans="2:11" ht="15" x14ac:dyDescent="0.2">
      <c r="B31" s="30"/>
      <c r="C31" s="30"/>
      <c r="D31" s="30"/>
      <c r="E31" s="30"/>
      <c r="F31" s="30"/>
      <c r="G31" s="18"/>
      <c r="H31" s="8"/>
      <c r="K31" s="9"/>
    </row>
    <row r="32" spans="2:11" ht="15.75" x14ac:dyDescent="0.25">
      <c r="B32" s="76" t="s">
        <v>7</v>
      </c>
      <c r="C32" s="76"/>
      <c r="D32" s="76"/>
      <c r="E32" s="76"/>
      <c r="F32" s="76" t="s">
        <v>45</v>
      </c>
      <c r="G32" s="76" t="s">
        <v>35</v>
      </c>
      <c r="H32" s="10"/>
      <c r="K32" s="10"/>
    </row>
    <row r="33" spans="2:11" ht="15" x14ac:dyDescent="0.2">
      <c r="B33" s="28" t="s">
        <v>8</v>
      </c>
      <c r="C33" s="28"/>
      <c r="D33" s="28"/>
      <c r="E33" s="28"/>
      <c r="F33" s="39" t="e">
        <f t="shared" ref="F33:F38" si="1">G33/AntalUtgåvor</f>
        <v>#DIV/0!</v>
      </c>
      <c r="G33" s="14">
        <f>PrisInklMoms*LeveraradeEx*SåltProcent*AntalUtgåvor</f>
        <v>0</v>
      </c>
      <c r="H33" s="3"/>
      <c r="K33" s="4"/>
    </row>
    <row r="34" spans="2:11" ht="15" x14ac:dyDescent="0.2">
      <c r="B34" s="28" t="s">
        <v>9</v>
      </c>
      <c r="C34" s="48">
        <v>0.06</v>
      </c>
      <c r="D34" s="48"/>
      <c r="E34" s="48"/>
      <c r="F34" s="39" t="e">
        <f t="shared" si="1"/>
        <v>#DIV/0!</v>
      </c>
      <c r="G34" s="14">
        <f>G33-(G33/1.06)</f>
        <v>0</v>
      </c>
      <c r="H34" s="3"/>
      <c r="K34" s="4"/>
    </row>
    <row r="35" spans="2:11" ht="15" x14ac:dyDescent="0.2">
      <c r="B35" s="28" t="s">
        <v>10</v>
      </c>
      <c r="C35" s="28"/>
      <c r="D35" s="28"/>
      <c r="E35" s="28"/>
      <c r="F35" s="39" t="e">
        <f t="shared" si="1"/>
        <v>#DIV/0!</v>
      </c>
      <c r="G35" s="14">
        <f>G29</f>
        <v>65168</v>
      </c>
      <c r="H35" s="3"/>
      <c r="K35" s="4"/>
    </row>
    <row r="36" spans="2:11" ht="15" x14ac:dyDescent="0.2">
      <c r="B36" s="28" t="s">
        <v>11</v>
      </c>
      <c r="C36" s="28"/>
      <c r="D36" s="28"/>
      <c r="E36" s="28"/>
      <c r="F36" s="39" t="e">
        <f t="shared" si="1"/>
        <v>#DIV/0!</v>
      </c>
      <c r="G36" s="14">
        <f>G33-G34-G35</f>
        <v>-65168</v>
      </c>
      <c r="H36" s="3"/>
      <c r="K36" s="4"/>
    </row>
    <row r="37" spans="2:11" ht="15" x14ac:dyDescent="0.2">
      <c r="B37" s="28" t="s">
        <v>30</v>
      </c>
      <c r="C37" s="40">
        <v>0.20499999999999999</v>
      </c>
      <c r="D37" s="40"/>
      <c r="E37" s="40"/>
      <c r="F37" s="39" t="e">
        <f t="shared" si="1"/>
        <v>#DIV/0!</v>
      </c>
      <c r="G37" s="14">
        <f>(G33-G34)*0.205</f>
        <v>0</v>
      </c>
      <c r="H37" s="3"/>
      <c r="K37" s="4"/>
    </row>
    <row r="38" spans="2:11" ht="15.75" x14ac:dyDescent="0.25">
      <c r="B38" s="45" t="s">
        <v>41</v>
      </c>
      <c r="C38" s="45"/>
      <c r="D38" s="45"/>
      <c r="E38" s="45"/>
      <c r="F38" s="46" t="e">
        <f t="shared" si="1"/>
        <v>#DIV/0!</v>
      </c>
      <c r="G38" s="19">
        <f>G36-G37</f>
        <v>-65168</v>
      </c>
      <c r="H38" s="6"/>
      <c r="K38" s="7"/>
    </row>
    <row r="39" spans="2:11" ht="15.75" customHeight="1" x14ac:dyDescent="0.2">
      <c r="B39" s="25"/>
      <c r="C39" s="25"/>
      <c r="D39" s="25"/>
      <c r="E39" s="25"/>
      <c r="F39" s="25"/>
      <c r="G39" s="49"/>
      <c r="H39" s="9"/>
      <c r="J39" s="9"/>
      <c r="K39" s="9"/>
    </row>
    <row r="40" spans="2:11" ht="15" x14ac:dyDescent="0.2">
      <c r="B40" s="50"/>
      <c r="C40" s="50"/>
      <c r="D40" s="50"/>
      <c r="E40" s="50"/>
      <c r="F40" s="50"/>
      <c r="G40" s="50"/>
      <c r="H40" s="9"/>
    </row>
    <row r="41" spans="2:11" ht="15.75" x14ac:dyDescent="0.25">
      <c r="B41" s="78" t="s">
        <v>36</v>
      </c>
      <c r="C41" s="79"/>
      <c r="D41" s="79"/>
      <c r="E41" s="79"/>
      <c r="F41" s="78" t="s">
        <v>45</v>
      </c>
      <c r="G41" s="78" t="s">
        <v>35</v>
      </c>
      <c r="H41" s="9"/>
    </row>
    <row r="42" spans="2:11" ht="15" x14ac:dyDescent="0.2">
      <c r="B42" s="51" t="s">
        <v>20</v>
      </c>
      <c r="C42" s="52">
        <v>0.31</v>
      </c>
      <c r="D42" s="52"/>
      <c r="E42" s="41" t="s">
        <v>29</v>
      </c>
      <c r="F42" s="53" t="e">
        <f t="shared" ref="F42:F49" si="2">G42/AntalUtgåvor</f>
        <v>#DIV/0!</v>
      </c>
      <c r="G42" s="20">
        <f>(G53-G54)*FörlagsTitelavgiftRörlig</f>
        <v>0</v>
      </c>
      <c r="H42" s="9"/>
    </row>
    <row r="43" spans="2:11" ht="15" x14ac:dyDescent="0.2">
      <c r="B43" s="28" t="s">
        <v>4</v>
      </c>
      <c r="C43" s="40">
        <v>1.3899999999999999E-2</v>
      </c>
      <c r="D43" s="40"/>
      <c r="E43" s="41" t="s">
        <v>32</v>
      </c>
      <c r="F43" s="53" t="e">
        <f t="shared" si="2"/>
        <v>#DIV/0!</v>
      </c>
      <c r="G43" s="14">
        <f>(PrisInklMoms*LeveraradeEx*SåltProcent*AntalUtgåvor)*Försäljningsprovision</f>
        <v>0</v>
      </c>
      <c r="H43" s="9"/>
    </row>
    <row r="44" spans="2:11" ht="15" x14ac:dyDescent="0.2">
      <c r="B44" s="28" t="s">
        <v>31</v>
      </c>
      <c r="C44" s="43">
        <v>20.57</v>
      </c>
      <c r="D44" s="43"/>
      <c r="E44" s="34" t="s">
        <v>33</v>
      </c>
      <c r="F44" s="39" t="e">
        <f t="shared" si="2"/>
        <v>#DIV/0!</v>
      </c>
      <c r="G44" s="14">
        <f>IF(AntalUtgåvor&gt;3,Återförsäljaravgift/AntalUtgåvor*AntalÅterförsäljare*AntalUtgåvor,(Återförsäljaravgift/4)*AntalÅterförsäljare*AntalUtgåvor)</f>
        <v>0</v>
      </c>
      <c r="H44" s="9"/>
    </row>
    <row r="45" spans="2:11" ht="15" x14ac:dyDescent="0.2">
      <c r="B45" s="28" t="s">
        <v>5</v>
      </c>
      <c r="C45" s="43">
        <v>5.1100000000000003</v>
      </c>
      <c r="D45" s="43"/>
      <c r="E45" s="28" t="s">
        <v>21</v>
      </c>
      <c r="F45" s="39" t="e">
        <f t="shared" si="2"/>
        <v>#DIV/0!</v>
      </c>
      <c r="G45" s="14">
        <f>(AntalÅterförsäljare*AntalUtgåvor)*Lådavgift</f>
        <v>0</v>
      </c>
      <c r="H45" s="9"/>
    </row>
    <row r="46" spans="2:11" ht="15" x14ac:dyDescent="0.2">
      <c r="B46" s="28" t="s">
        <v>23</v>
      </c>
      <c r="C46" s="43">
        <v>1.23</v>
      </c>
      <c r="D46" s="43"/>
      <c r="E46" s="44" t="s">
        <v>24</v>
      </c>
      <c r="F46" s="39" t="e">
        <f t="shared" si="2"/>
        <v>#DIV/0!</v>
      </c>
      <c r="G46" s="14">
        <f>(LeveraradeEx*AntalUtgåvor*(ViktGram/1000))*KgAvgift</f>
        <v>0</v>
      </c>
      <c r="H46" s="9"/>
    </row>
    <row r="47" spans="2:11" ht="15" x14ac:dyDescent="0.2">
      <c r="B47" s="28" t="s">
        <v>25</v>
      </c>
      <c r="C47" s="43">
        <v>0.05</v>
      </c>
      <c r="D47" s="43"/>
      <c r="E47" s="28" t="s">
        <v>26</v>
      </c>
      <c r="F47" s="39" t="e">
        <f t="shared" si="2"/>
        <v>#DIV/0!</v>
      </c>
      <c r="G47" s="14">
        <f>LeveraradeEx*AntalUtgåvor*ExAvgift</f>
        <v>0</v>
      </c>
      <c r="H47" s="9"/>
    </row>
    <row r="48" spans="2:11" ht="15" x14ac:dyDescent="0.2">
      <c r="B48" s="28" t="s">
        <v>6</v>
      </c>
      <c r="C48" s="43">
        <v>1.44</v>
      </c>
      <c r="D48" s="43"/>
      <c r="E48" s="28" t="s">
        <v>27</v>
      </c>
      <c r="F48" s="39" t="e">
        <f t="shared" si="2"/>
        <v>#DIV/0!</v>
      </c>
      <c r="G48" s="14">
        <f>(LeveraradeEx*AntalUtgåvor*(ViktGram/1000)*(1-SåltProcent))*ReturKgAvgift</f>
        <v>0</v>
      </c>
      <c r="H48" s="9"/>
    </row>
    <row r="49" spans="2:8" ht="15.75" x14ac:dyDescent="0.25">
      <c r="B49" s="45" t="s">
        <v>40</v>
      </c>
      <c r="C49" s="45"/>
      <c r="D49" s="45"/>
      <c r="E49" s="45"/>
      <c r="F49" s="46" t="e">
        <f t="shared" si="2"/>
        <v>#DIV/0!</v>
      </c>
      <c r="G49" s="19">
        <f>SUM(G42:G48)</f>
        <v>0</v>
      </c>
      <c r="H49" s="9"/>
    </row>
    <row r="50" spans="2:8" ht="15.75" customHeight="1" x14ac:dyDescent="0.25">
      <c r="B50" s="47"/>
      <c r="C50" s="47"/>
      <c r="D50" s="47"/>
      <c r="E50" s="47"/>
      <c r="F50" s="47"/>
      <c r="G50" s="21"/>
      <c r="H50" s="9"/>
    </row>
    <row r="51" spans="2:8" ht="15" x14ac:dyDescent="0.2">
      <c r="B51" s="50"/>
      <c r="C51" s="50"/>
      <c r="D51" s="50"/>
      <c r="E51" s="50"/>
      <c r="F51" s="50"/>
      <c r="G51" s="22"/>
      <c r="H51" s="9"/>
    </row>
    <row r="52" spans="2:8" ht="15.75" x14ac:dyDescent="0.25">
      <c r="B52" s="78" t="s">
        <v>7</v>
      </c>
      <c r="C52" s="78"/>
      <c r="D52" s="78"/>
      <c r="E52" s="78"/>
      <c r="F52" s="78" t="s">
        <v>45</v>
      </c>
      <c r="G52" s="78" t="s">
        <v>35</v>
      </c>
      <c r="H52" s="9"/>
    </row>
    <row r="53" spans="2:8" ht="15" x14ac:dyDescent="0.2">
      <c r="B53" s="28" t="s">
        <v>8</v>
      </c>
      <c r="C53" s="28"/>
      <c r="D53" s="28"/>
      <c r="E53" s="28"/>
      <c r="F53" s="39" t="e">
        <f t="shared" ref="F53:F58" si="3">G53/AntalUtgåvor</f>
        <v>#DIV/0!</v>
      </c>
      <c r="G53" s="14">
        <f>PrisInklMoms*LeveraradeEx*SåltProcent*AntalUtgåvor</f>
        <v>0</v>
      </c>
      <c r="H53" s="9"/>
    </row>
    <row r="54" spans="2:8" ht="15" x14ac:dyDescent="0.2">
      <c r="B54" s="28" t="s">
        <v>9</v>
      </c>
      <c r="C54" s="48">
        <v>0.06</v>
      </c>
      <c r="D54" s="48"/>
      <c r="E54" s="48"/>
      <c r="F54" s="39" t="e">
        <f t="shared" si="3"/>
        <v>#DIV/0!</v>
      </c>
      <c r="G54" s="14">
        <f>G53-(G53/1.06)</f>
        <v>0</v>
      </c>
      <c r="H54" s="9"/>
    </row>
    <row r="55" spans="2:8" ht="15" x14ac:dyDescent="0.2">
      <c r="B55" s="28" t="s">
        <v>10</v>
      </c>
      <c r="C55" s="28"/>
      <c r="D55" s="28"/>
      <c r="E55" s="28"/>
      <c r="F55" s="39" t="e">
        <f t="shared" si="3"/>
        <v>#DIV/0!</v>
      </c>
      <c r="G55" s="14">
        <f>G49</f>
        <v>0</v>
      </c>
      <c r="H55" s="9"/>
    </row>
    <row r="56" spans="2:8" ht="15" x14ac:dyDescent="0.2">
      <c r="B56" s="28" t="s">
        <v>11</v>
      </c>
      <c r="C56" s="28"/>
      <c r="D56" s="28"/>
      <c r="E56" s="28"/>
      <c r="F56" s="39" t="e">
        <f t="shared" si="3"/>
        <v>#DIV/0!</v>
      </c>
      <c r="G56" s="14">
        <f>G53-G54-G55</f>
        <v>0</v>
      </c>
      <c r="H56" s="9"/>
    </row>
    <row r="57" spans="2:8" ht="15" x14ac:dyDescent="0.2">
      <c r="B57" s="28" t="s">
        <v>30</v>
      </c>
      <c r="C57" s="40">
        <v>0.20499999999999999</v>
      </c>
      <c r="D57" s="40"/>
      <c r="E57" s="40"/>
      <c r="F57" s="39" t="e">
        <f t="shared" si="3"/>
        <v>#DIV/0!</v>
      </c>
      <c r="G57" s="14">
        <f>(G53-G54)*0.205</f>
        <v>0</v>
      </c>
      <c r="H57" s="9"/>
    </row>
    <row r="58" spans="2:8" ht="15.75" x14ac:dyDescent="0.25">
      <c r="B58" s="45" t="s">
        <v>41</v>
      </c>
      <c r="C58" s="45"/>
      <c r="D58" s="45"/>
      <c r="E58" s="45"/>
      <c r="F58" s="46" t="e">
        <f t="shared" si="3"/>
        <v>#DIV/0!</v>
      </c>
      <c r="G58" s="19">
        <f>G56-G57</f>
        <v>0</v>
      </c>
      <c r="H58" s="9"/>
    </row>
    <row r="59" spans="2:8" ht="12.75" x14ac:dyDescent="0.2">
      <c r="G59" s="9"/>
    </row>
    <row r="60" spans="2:8" ht="15" customHeight="1" x14ac:dyDescent="0.2"/>
    <row r="61" spans="2:8" ht="15" customHeight="1" x14ac:dyDescent="0.2">
      <c r="G61" s="65">
        <f>IF(D9="Rörlig",G53-G54,0)</f>
        <v>0</v>
      </c>
    </row>
    <row r="62" spans="2:8" ht="15" customHeight="1" x14ac:dyDescent="0.2"/>
    <row r="63" spans="2:8" ht="12.75" x14ac:dyDescent="0.2"/>
    <row r="64" spans="2:8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1048575" ht="16.5" hidden="1" customHeight="1" x14ac:dyDescent="0.2"/>
    <row r="1048576" ht="28.5" hidden="1" customHeight="1" x14ac:dyDescent="0.2"/>
  </sheetData>
  <sheetProtection algorithmName="SHA-512" hashValue="g/0JErepMJXISFDdL137xRygZfaIfzbd7EWSUoxVoMx1AixVQL+4zZaZtecoeAhLxtx+TotrAHjURuSD6lQ5JA==" saltValue="bBSEbsyxW7jFJVIJuBM39g==" spinCount="100000" sheet="1" objects="1" scenarios="1" selectLockedCells="1"/>
  <mergeCells count="2">
    <mergeCell ref="B9:C9"/>
    <mergeCell ref="E9:F9"/>
  </mergeCells>
  <conditionalFormatting sqref="B17:G18 B31:G32">
    <cfRule type="expression" dxfId="6" priority="11">
      <formula>$D$9="Rörlig"</formula>
    </cfRule>
  </conditionalFormatting>
  <conditionalFormatting sqref="B33:G38 B19:G29">
    <cfRule type="expression" dxfId="5" priority="13">
      <formula>$D$9="Rörlig"</formula>
    </cfRule>
  </conditionalFormatting>
  <conditionalFormatting sqref="B42:G49 B53:G58">
    <cfRule type="expression" dxfId="4" priority="17">
      <formula>$D$9="Fast"</formula>
    </cfRule>
  </conditionalFormatting>
  <conditionalFormatting sqref="F21:G29 F33:G38 F42:G49 F53:G58">
    <cfRule type="expression" dxfId="3" priority="5">
      <formula>$J$16&lt;6</formula>
    </cfRule>
  </conditionalFormatting>
  <conditionalFormatting sqref="B40:G41 B51:G52">
    <cfRule type="expression" dxfId="2" priority="4">
      <formula>$D$9="Fast"</formula>
    </cfRule>
  </conditionalFormatting>
  <conditionalFormatting sqref="G53:G54">
    <cfRule type="expression" dxfId="1" priority="2">
      <formula>$G$61&gt;$C$10</formula>
    </cfRule>
  </conditionalFormatting>
  <conditionalFormatting sqref="C10">
    <cfRule type="expression" dxfId="0" priority="1">
      <formula>$G$61&gt;$C$10</formula>
    </cfRule>
  </conditionalFormatting>
  <dataValidations count="5">
    <dataValidation type="decimal" allowBlank="1" showInputMessage="1" showErrorMessage="1" errorTitle="Ange pris i SEK inkl moms" promptTitle="Ange pris i SEK inkl moms" sqref="F10" xr:uid="{7D11E0E9-09D1-425C-A73C-C70F8A4B5CE2}">
      <formula1>1</formula1>
      <formula2>1000</formula2>
    </dataValidation>
    <dataValidation type="whole" allowBlank="1" showInputMessage="1" showErrorMessage="1" errorTitle="Ange antal utgåvor per år" sqref="F11" xr:uid="{55926845-0E63-4EF1-8A03-BC86A3410375}">
      <formula1>1</formula1>
      <formula2>100</formula2>
    </dataValidation>
    <dataValidation type="whole" allowBlank="1" showInputMessage="1" showErrorMessage="1" errorTitle="Ange genomsnittligt antal åf" error="Fyll i ett värde mellan 1 och 5500" sqref="F12" xr:uid="{E1C184D9-4099-4617-AD03-C0D5287DD060}">
      <formula1>1</formula1>
      <formula2>5500</formula2>
    </dataValidation>
    <dataValidation type="whole" allowBlank="1" showInputMessage="1" showErrorMessage="1" errorTitle="Ange genomsnittsvikt i gram" sqref="F13" xr:uid="{4DF47368-6004-4B31-B4B2-D795375D9A8D}">
      <formula1>1</formula1>
      <formula2>5000</formula2>
    </dataValidation>
    <dataValidation type="decimal" allowBlank="1" showInputMessage="1" showErrorMessage="1" errorTitle="Ange genomsnittlig sålt%" error="Ange ett värde mellan 1-100%" sqref="F15" xr:uid="{EECB30BA-F1B9-4DB9-BAEE-303BA16DBF94}">
      <formula1>0.01</formula1>
      <formula2>1</formula2>
    </dataValidation>
  </dataValidations>
  <pageMargins left="0.7" right="0.7" top="0.75" bottom="0.75" header="0.3" footer="0.3"/>
  <pageSetup paperSize="9" orientation="portrait" r:id="rId1"/>
  <ignoredErrors>
    <ignoredError sqref="F21:F29 F33:F38 F42:F45 F46:F49 F53:F5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25</vt:i4>
      </vt:variant>
    </vt:vector>
  </HeadingPairs>
  <TitlesOfParts>
    <vt:vector size="26" baseType="lpstr">
      <vt:lpstr>Kalkylator 2021</vt:lpstr>
      <vt:lpstr>'Kalkylator 2021'!AntalUtgåvor</vt:lpstr>
      <vt:lpstr>'Kalkylator 2021'!AntalÅterförsäljare</vt:lpstr>
      <vt:lpstr>'Kalkylator 2021'!AvgårMoms</vt:lpstr>
      <vt:lpstr>'Kalkylator 2021'!AvgårTidsamsAvgifter</vt:lpstr>
      <vt:lpstr>'Kalkylator 2021'!AvgårÅterförsäljprovision</vt:lpstr>
      <vt:lpstr>'Kalkylator 2021'!ExAvgift</vt:lpstr>
      <vt:lpstr>'Kalkylator 2021'!Förlagsavgift</vt:lpstr>
      <vt:lpstr>'Kalkylator 2021'!FÖrlagsavgiftMaxTvåTitlar</vt:lpstr>
      <vt:lpstr>'Kalkylator 2021'!FörlagsTitelavgiftRörlig</vt:lpstr>
      <vt:lpstr>'Kalkylator 2021'!Försäljnig</vt:lpstr>
      <vt:lpstr>'Kalkylator 2021'!Försäljning</vt:lpstr>
      <vt:lpstr>'Kalkylator 2021'!FörsäljningExMomsKostnader</vt:lpstr>
      <vt:lpstr>'Kalkylator 2021'!Försäljningsprovision</vt:lpstr>
      <vt:lpstr>'Kalkylator 2021'!KgAvgift</vt:lpstr>
      <vt:lpstr>Kontroll</vt:lpstr>
      <vt:lpstr>'Kalkylator 2021'!LeveraradeEx</vt:lpstr>
      <vt:lpstr>'Kalkylator 2021'!Lådavgift</vt:lpstr>
      <vt:lpstr>'Kalkylator 2021'!PrisInklMoms</vt:lpstr>
      <vt:lpstr>'Kalkylator 2021'!ReturKgAvgift</vt:lpstr>
      <vt:lpstr>'Kalkylator 2021'!SåltProcent</vt:lpstr>
      <vt:lpstr>'Kalkylator 2021'!Titelavgift</vt:lpstr>
      <vt:lpstr>'Kalkylator 2021'!Utgåveavgift</vt:lpstr>
      <vt:lpstr>'Kalkylator 2021'!VigtG</vt:lpstr>
      <vt:lpstr>'Kalkylator 2021'!ViktGram</vt:lpstr>
      <vt:lpstr>'Kalkylator 2021'!Återförsäljaravgift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Ådahl</dc:creator>
  <cp:lastModifiedBy>Maria Brynolf</cp:lastModifiedBy>
  <dcterms:created xsi:type="dcterms:W3CDTF">2020-09-28T06:32:54Z</dcterms:created>
  <dcterms:modified xsi:type="dcterms:W3CDTF">2021-06-03T12:51:27Z</dcterms:modified>
</cp:coreProperties>
</file>